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65521" windowWidth="12000" windowHeight="11760" activeTab="0"/>
  </bookViews>
  <sheets>
    <sheet name="H25. 4. 1現在" sheetId="1" r:id="rId1"/>
  </sheets>
  <definedNames>
    <definedName name="_xlnm.Print_Area" localSheetId="0">'H25. 4. 1現在'!$A$1:$Q$38</definedName>
  </definedNames>
  <calcPr fullCalcOnLoad="1"/>
</workbook>
</file>

<file path=xl/sharedStrings.xml><?xml version="1.0" encoding="utf-8"?>
<sst xmlns="http://schemas.openxmlformats.org/spreadsheetml/2006/main" count="39" uniqueCount="37">
  <si>
    <t>道路種別</t>
  </si>
  <si>
    <t>路線数</t>
  </si>
  <si>
    <t>実延長</t>
  </si>
  <si>
    <t>規格改良済延長（改良率）</t>
  </si>
  <si>
    <t>舗装済延長（舗装率）</t>
  </si>
  <si>
    <t>橋梁</t>
  </si>
  <si>
    <t>トンネル</t>
  </si>
  <si>
    <t>歩道等</t>
  </si>
  <si>
    <t>改良済（改良率）</t>
  </si>
  <si>
    <t>舗装済（舗装率）</t>
  </si>
  <si>
    <t>個数</t>
  </si>
  <si>
    <t>延長</t>
  </si>
  <si>
    <t>設置</t>
  </si>
  <si>
    <t>内5.5m以上（改良率）</t>
  </si>
  <si>
    <t>内簡易舗装を除く（舗装率）</t>
  </si>
  <si>
    <t>道路延長</t>
  </si>
  <si>
    <t>一般国道　　　（指定区間）</t>
  </si>
  <si>
    <t>一般国道　　　（指定区間外）</t>
  </si>
  <si>
    <t>一般国道　　　　合計</t>
  </si>
  <si>
    <t>主要地方道</t>
  </si>
  <si>
    <t>一般県道</t>
  </si>
  <si>
    <t>県道            合計</t>
  </si>
  <si>
    <t>一般国道・県道    合計</t>
  </si>
  <si>
    <t>県管理道路      合計</t>
  </si>
  <si>
    <t>一級市町村道</t>
  </si>
  <si>
    <t>二級市町村道</t>
  </si>
  <si>
    <t>一級･二級市町村道 合計</t>
  </si>
  <si>
    <t>市町村道路      合計</t>
  </si>
  <si>
    <t>総計</t>
  </si>
  <si>
    <t>1.国道１９６号西日本高速道路(株)管理分を含む。</t>
  </si>
  <si>
    <t>2.国道３１７号本州四国連絡高速道路(株)管理分は、「一般国道指定区間」として含まれる。</t>
  </si>
  <si>
    <t>3.一般国道の路線数は、国道３１７号が「指定区間」と「指定区間外」に分かれている為、内訳と計が一致しない。</t>
  </si>
  <si>
    <t>その他市町村道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</si>
  <si>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</si>
  <si>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</si>
  <si>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</si>
  <si>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（平成２５年４月１日現在）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</si>
</sst>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\(???.?\)"/>
    <numFmt numFmtId="179" formatCode="\(???.0\)"/>
    <numFmt numFmtId="180" formatCode="0_ "/>
    <numFmt numFmtId="181" formatCode="#,##0.0_ "/>
    <numFmt numFmtId="182" formatCode="#,##0_ "/>
    <numFmt numFmtId="183" formatCode="#,##0_);[Red]\(#,##0\)"/>
    <numFmt numFmtId="184" formatCode="#,##0.0_);[Red]\(#,##0.0\)"/>
    <numFmt numFmtId="185" formatCode="#,##0.00_ "/>
    <numFmt numFmtId="186" formatCode="#,##0.000_ 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distributed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distributed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distributed" vertical="center"/>
    </xf>
    <xf numFmtId="0" fontId="5" fillId="32" borderId="18" xfId="0" applyFont="1" applyFill="1" applyBorder="1" applyAlignment="1">
      <alignment horizontal="distributed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distributed" vertical="center"/>
    </xf>
    <xf numFmtId="0" fontId="5" fillId="32" borderId="11" xfId="0" applyFont="1" applyFill="1" applyBorder="1" applyAlignment="1">
      <alignment horizontal="distributed" vertical="center" wrapText="1"/>
    </xf>
    <xf numFmtId="180" fontId="5" fillId="32" borderId="10" xfId="0" applyNumberFormat="1" applyFont="1" applyFill="1" applyBorder="1" applyAlignment="1">
      <alignment horizontal="right"/>
    </xf>
    <xf numFmtId="181" fontId="5" fillId="32" borderId="10" xfId="0" applyNumberFormat="1" applyFont="1" applyFill="1" applyBorder="1" applyAlignment="1">
      <alignment horizontal="right"/>
    </xf>
    <xf numFmtId="183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 horizontal="right"/>
    </xf>
    <xf numFmtId="0" fontId="5" fillId="32" borderId="21" xfId="0" applyFont="1" applyFill="1" applyBorder="1" applyAlignment="1">
      <alignment horizontal="distributed" vertical="center" wrapText="1"/>
    </xf>
    <xf numFmtId="181" fontId="5" fillId="32" borderId="15" xfId="0" applyNumberFormat="1" applyFont="1" applyFill="1" applyBorder="1" applyAlignment="1">
      <alignment horizontal="right" vertical="center"/>
    </xf>
    <xf numFmtId="179" fontId="5" fillId="32" borderId="17" xfId="0" applyNumberFormat="1" applyFont="1" applyFill="1" applyBorder="1" applyAlignment="1">
      <alignment horizontal="center" vertical="center"/>
    </xf>
    <xf numFmtId="181" fontId="5" fillId="32" borderId="19" xfId="0" applyNumberFormat="1" applyFont="1" applyFill="1" applyBorder="1" applyAlignment="1">
      <alignment horizontal="right" vertical="center"/>
    </xf>
    <xf numFmtId="179" fontId="5" fillId="32" borderId="20" xfId="0" applyNumberFormat="1" applyFont="1" applyFill="1" applyBorder="1" applyAlignment="1">
      <alignment horizontal="center" vertical="center"/>
    </xf>
    <xf numFmtId="181" fontId="5" fillId="32" borderId="13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182" fontId="5" fillId="32" borderId="10" xfId="0" applyNumberFormat="1" applyFont="1" applyFill="1" applyBorder="1" applyAlignment="1">
      <alignment horizontal="right"/>
    </xf>
    <xf numFmtId="181" fontId="5" fillId="32" borderId="13" xfId="0" applyNumberFormat="1" applyFont="1" applyFill="1" applyBorder="1" applyAlignment="1">
      <alignment horizontal="right" vertical="center"/>
    </xf>
    <xf numFmtId="181" fontId="5" fillId="32" borderId="22" xfId="0" applyNumberFormat="1" applyFont="1" applyFill="1" applyBorder="1" applyAlignment="1">
      <alignment horizontal="right" vertical="center"/>
    </xf>
    <xf numFmtId="182" fontId="5" fillId="32" borderId="11" xfId="0" applyNumberFormat="1" applyFont="1" applyFill="1" applyBorder="1" applyAlignment="1">
      <alignment horizontal="right"/>
    </xf>
    <xf numFmtId="182" fontId="5" fillId="32" borderId="21" xfId="0" applyNumberFormat="1" applyFont="1" applyFill="1" applyBorder="1" applyAlignment="1">
      <alignment horizontal="right"/>
    </xf>
    <xf numFmtId="181" fontId="5" fillId="32" borderId="11" xfId="0" applyNumberFormat="1" applyFont="1" applyFill="1" applyBorder="1" applyAlignment="1">
      <alignment horizontal="right"/>
    </xf>
    <xf numFmtId="181" fontId="5" fillId="32" borderId="21" xfId="0" applyNumberFormat="1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 vertical="center"/>
    </xf>
    <xf numFmtId="0" fontId="5" fillId="32" borderId="13" xfId="0" applyFont="1" applyFill="1" applyBorder="1" applyAlignment="1">
      <alignment horizontal="right" vertical="center"/>
    </xf>
    <xf numFmtId="0" fontId="5" fillId="32" borderId="0" xfId="0" applyFont="1" applyFill="1" applyAlignment="1">
      <alignment horizontal="left" vertical="center" indent="2"/>
    </xf>
    <xf numFmtId="182" fontId="5" fillId="32" borderId="0" xfId="0" applyNumberFormat="1" applyFont="1" applyFill="1" applyBorder="1" applyAlignment="1">
      <alignment horizontal="right"/>
    </xf>
    <xf numFmtId="181" fontId="5" fillId="32" borderId="0" xfId="0" applyNumberFormat="1" applyFont="1" applyFill="1" applyBorder="1" applyAlignment="1">
      <alignment horizontal="right"/>
    </xf>
    <xf numFmtId="181" fontId="5" fillId="32" borderId="0" xfId="0" applyNumberFormat="1" applyFont="1" applyFill="1" applyBorder="1" applyAlignment="1">
      <alignment horizontal="right" vertical="center"/>
    </xf>
    <xf numFmtId="179" fontId="5" fillId="32" borderId="0" xfId="0" applyNumberFormat="1" applyFont="1" applyFill="1" applyBorder="1" applyAlignment="1">
      <alignment horizontal="center" vertical="center"/>
    </xf>
    <xf numFmtId="183" fontId="5" fillId="32" borderId="0" xfId="0" applyNumberFormat="1" applyFont="1" applyFill="1" applyBorder="1" applyAlignment="1">
      <alignment horizontal="right"/>
    </xf>
    <xf numFmtId="184" fontId="5" fillId="32" borderId="0" xfId="0" applyNumberFormat="1" applyFont="1" applyFill="1" applyBorder="1" applyAlignment="1">
      <alignment horizontal="right"/>
    </xf>
    <xf numFmtId="0" fontId="0" fillId="32" borderId="21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766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386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101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483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124700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734300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8963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3452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049000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315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3011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8963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8963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4766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0386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2101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8483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124700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734300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8963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53452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1049000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2315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3011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8963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8963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716280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72477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8963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53452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16280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72477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8963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53452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17</xdr:col>
      <xdr:colOff>676275</xdr:colOff>
      <xdr:row>4</xdr:row>
      <xdr:rowOff>19050</xdr:rowOff>
    </xdr:from>
    <xdr:to>
      <xdr:col>17</xdr:col>
      <xdr:colOff>676275</xdr:colOff>
      <xdr:row>5</xdr:row>
      <xdr:rowOff>9525</xdr:rowOff>
    </xdr:to>
    <xdr:sp>
      <xdr:nvSpPr>
        <xdr:cNvPr id="36" name="Text Box 3"/>
        <xdr:cNvSpPr txBox="1">
          <a:spLocks noChangeArrowheads="1"/>
        </xdr:cNvSpPr>
      </xdr:nvSpPr>
      <xdr:spPr>
        <a:xfrm>
          <a:off x="14144625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17</xdr:col>
      <xdr:colOff>676275</xdr:colOff>
      <xdr:row>4</xdr:row>
      <xdr:rowOff>19050</xdr:rowOff>
    </xdr:from>
    <xdr:to>
      <xdr:col>17</xdr:col>
      <xdr:colOff>676275</xdr:colOff>
      <xdr:row>5</xdr:row>
      <xdr:rowOff>9525</xdr:rowOff>
    </xdr:to>
    <xdr:sp>
      <xdr:nvSpPr>
        <xdr:cNvPr id="37" name="Text Box 17"/>
        <xdr:cNvSpPr txBox="1">
          <a:spLocks noChangeArrowheads="1"/>
        </xdr:cNvSpPr>
      </xdr:nvSpPr>
      <xdr:spPr>
        <a:xfrm>
          <a:off x="14144625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view="pageBreakPreview" zoomScale="85" zoomScaleNormal="70" zoomScaleSheetLayoutView="85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U38" sqref="U38"/>
    </sheetView>
  </sheetViews>
  <sheetFormatPr defaultColWidth="8.875" defaultRowHeight="13.5"/>
  <cols>
    <col min="1" max="1" width="14.25390625" style="2" customWidth="1"/>
    <col min="2" max="2" width="8.875" style="2" customWidth="1"/>
    <col min="3" max="3" width="11.75390625" style="2" bestFit="1" customWidth="1"/>
    <col min="4" max="4" width="14.75390625" style="2" customWidth="1"/>
    <col min="5" max="5" width="13.125" style="2" customWidth="1"/>
    <col min="6" max="6" width="10.75390625" style="2" customWidth="1"/>
    <col min="7" max="7" width="9.75390625" style="2" bestFit="1" customWidth="1"/>
    <col min="8" max="8" width="14.75390625" style="2" customWidth="1"/>
    <col min="9" max="9" width="13.125" style="2" customWidth="1"/>
    <col min="10" max="10" width="10.75390625" style="2" customWidth="1"/>
    <col min="11" max="11" width="9.75390625" style="2" bestFit="1" customWidth="1"/>
    <col min="12" max="12" width="8.875" style="2" customWidth="1"/>
    <col min="13" max="13" width="7.75390625" style="2" bestFit="1" customWidth="1"/>
    <col min="14" max="14" width="8.875" style="2" customWidth="1"/>
    <col min="15" max="15" width="9.00390625" style="2" bestFit="1" customWidth="1"/>
    <col min="16" max="16" width="9.625" style="2" bestFit="1" customWidth="1"/>
    <col min="17" max="17" width="1.00390625" style="2" customWidth="1"/>
    <col min="18" max="16384" width="8.875" style="2" customWidth="1"/>
  </cols>
  <sheetData>
    <row r="1" spans="1:16" ht="36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 customHeight="1">
      <c r="A2" s="3" t="s">
        <v>0</v>
      </c>
      <c r="B2" s="3" t="s">
        <v>1</v>
      </c>
      <c r="C2" s="3" t="s">
        <v>2</v>
      </c>
      <c r="D2" s="4" t="s">
        <v>3</v>
      </c>
      <c r="E2" s="4"/>
      <c r="F2" s="4"/>
      <c r="G2" s="4"/>
      <c r="H2" s="4" t="s">
        <v>4</v>
      </c>
      <c r="I2" s="4"/>
      <c r="J2" s="4"/>
      <c r="K2" s="4"/>
      <c r="L2" s="3" t="s">
        <v>5</v>
      </c>
      <c r="M2" s="3"/>
      <c r="N2" s="3" t="s">
        <v>6</v>
      </c>
      <c r="O2" s="3"/>
      <c r="P2" s="5" t="s">
        <v>7</v>
      </c>
    </row>
    <row r="3" spans="1:16" ht="13.5">
      <c r="A3" s="3"/>
      <c r="B3" s="3"/>
      <c r="C3" s="3"/>
      <c r="D3" s="6"/>
      <c r="E3" s="7"/>
      <c r="F3" s="7" t="s">
        <v>8</v>
      </c>
      <c r="G3" s="8"/>
      <c r="H3" s="9"/>
      <c r="I3" s="10"/>
      <c r="J3" s="7" t="s">
        <v>9</v>
      </c>
      <c r="K3" s="8"/>
      <c r="L3" s="11" t="s">
        <v>10</v>
      </c>
      <c r="M3" s="3" t="s">
        <v>11</v>
      </c>
      <c r="N3" s="3" t="s">
        <v>10</v>
      </c>
      <c r="O3" s="3" t="s">
        <v>11</v>
      </c>
      <c r="P3" s="12" t="s">
        <v>12</v>
      </c>
    </row>
    <row r="4" spans="1:16" ht="13.5">
      <c r="A4" s="3"/>
      <c r="B4" s="3"/>
      <c r="C4" s="3"/>
      <c r="D4" s="9" t="s">
        <v>13</v>
      </c>
      <c r="E4" s="13"/>
      <c r="F4" s="14"/>
      <c r="G4" s="15"/>
      <c r="H4" s="9" t="s">
        <v>14</v>
      </c>
      <c r="I4" s="13"/>
      <c r="J4" s="14"/>
      <c r="K4" s="15"/>
      <c r="L4" s="11"/>
      <c r="M4" s="3"/>
      <c r="N4" s="3"/>
      <c r="O4" s="3"/>
      <c r="P4" s="16" t="s">
        <v>15</v>
      </c>
    </row>
    <row r="5" spans="1:16" ht="18" customHeight="1">
      <c r="A5" s="17" t="s">
        <v>16</v>
      </c>
      <c r="B5" s="18">
        <v>6</v>
      </c>
      <c r="C5" s="19">
        <f>470118/1000</f>
        <v>470.118</v>
      </c>
      <c r="D5" s="6"/>
      <c r="E5" s="7"/>
      <c r="F5" s="7"/>
      <c r="G5" s="8"/>
      <c r="H5" s="6"/>
      <c r="I5" s="7"/>
      <c r="J5" s="7"/>
      <c r="K5" s="8"/>
      <c r="L5" s="20">
        <v>696</v>
      </c>
      <c r="M5" s="21">
        <f>44720/1000</f>
        <v>44.72</v>
      </c>
      <c r="N5" s="20">
        <v>51</v>
      </c>
      <c r="O5" s="21">
        <f>26253/1000</f>
        <v>26.253</v>
      </c>
      <c r="P5" s="21">
        <f>343995/1000</f>
        <v>343.995</v>
      </c>
    </row>
    <row r="6" spans="1:16" ht="18" customHeight="1">
      <c r="A6" s="22"/>
      <c r="B6" s="18"/>
      <c r="C6" s="19"/>
      <c r="D6" s="23">
        <f>470118/1000</f>
        <v>470.118</v>
      </c>
      <c r="E6" s="24">
        <f>D6/C5*100</f>
        <v>100</v>
      </c>
      <c r="F6" s="25">
        <f>470118/1000</f>
        <v>470.118</v>
      </c>
      <c r="G6" s="26">
        <f>F6/C5*100</f>
        <v>100</v>
      </c>
      <c r="H6" s="23">
        <f>470118/1000</f>
        <v>470.118</v>
      </c>
      <c r="I6" s="24">
        <f>H6/C5*100</f>
        <v>100</v>
      </c>
      <c r="J6" s="25">
        <f>470118/1000</f>
        <v>470.118</v>
      </c>
      <c r="K6" s="26">
        <f>J6/C5*100</f>
        <v>100</v>
      </c>
      <c r="L6" s="20"/>
      <c r="M6" s="21"/>
      <c r="N6" s="20"/>
      <c r="O6" s="21"/>
      <c r="P6" s="21"/>
    </row>
    <row r="7" spans="1:16" ht="18" customHeight="1">
      <c r="A7" s="3" t="s">
        <v>17</v>
      </c>
      <c r="B7" s="18">
        <v>13</v>
      </c>
      <c r="C7" s="19">
        <f>614097.3/1000</f>
        <v>614.0973</v>
      </c>
      <c r="D7" s="6"/>
      <c r="E7" s="7"/>
      <c r="F7" s="27"/>
      <c r="G7" s="28"/>
      <c r="H7" s="6"/>
      <c r="I7" s="7"/>
      <c r="J7" s="27"/>
      <c r="K7" s="28"/>
      <c r="L7" s="20">
        <v>540</v>
      </c>
      <c r="M7" s="21">
        <f>20688.2/1000</f>
        <v>20.688200000000002</v>
      </c>
      <c r="N7" s="20">
        <v>86</v>
      </c>
      <c r="O7" s="21">
        <f>48896.1/1000</f>
        <v>48.8961</v>
      </c>
      <c r="P7" s="21">
        <f>359568.2/1000</f>
        <v>359.5682</v>
      </c>
    </row>
    <row r="8" spans="1:16" ht="18" customHeight="1">
      <c r="A8" s="3"/>
      <c r="B8" s="18"/>
      <c r="C8" s="19"/>
      <c r="D8" s="23">
        <f>491075.6/1000</f>
        <v>491.07559999999995</v>
      </c>
      <c r="E8" s="24">
        <f>D8/C7*100</f>
        <v>79.96706710809508</v>
      </c>
      <c r="F8" s="25">
        <f>535427.1/1000</f>
        <v>535.4271</v>
      </c>
      <c r="G8" s="26">
        <f>F8/C7*100</f>
        <v>87.18929394413556</v>
      </c>
      <c r="H8" s="23">
        <f>450088.2/1000</f>
        <v>450.08820000000003</v>
      </c>
      <c r="I8" s="24">
        <f>H8/C7*100</f>
        <v>73.29265248357223</v>
      </c>
      <c r="J8" s="25">
        <f>611626.2/1000</f>
        <v>611.6261999999999</v>
      </c>
      <c r="K8" s="26">
        <f>J8/C7*100</f>
        <v>99.5976044838497</v>
      </c>
      <c r="L8" s="20"/>
      <c r="M8" s="21"/>
      <c r="N8" s="20"/>
      <c r="O8" s="21"/>
      <c r="P8" s="21"/>
    </row>
    <row r="9" spans="1:16" ht="18" customHeight="1">
      <c r="A9" s="3" t="s">
        <v>18</v>
      </c>
      <c r="B9" s="29">
        <f>SUM(B5,B7)-1</f>
        <v>18</v>
      </c>
      <c r="C9" s="19">
        <f>SUM(C5:C8)</f>
        <v>1084.2153</v>
      </c>
      <c r="D9" s="6"/>
      <c r="E9" s="7"/>
      <c r="F9" s="27"/>
      <c r="G9" s="28"/>
      <c r="H9" s="6"/>
      <c r="I9" s="7"/>
      <c r="J9" s="27"/>
      <c r="K9" s="28"/>
      <c r="L9" s="20">
        <f>L5+L7</f>
        <v>1236</v>
      </c>
      <c r="M9" s="21">
        <f>M5+M7</f>
        <v>65.4082</v>
      </c>
      <c r="N9" s="20">
        <f>N5+N7</f>
        <v>137</v>
      </c>
      <c r="O9" s="21">
        <f>O5+O7</f>
        <v>75.1491</v>
      </c>
      <c r="P9" s="21">
        <f>P5+P7</f>
        <v>703.5632</v>
      </c>
    </row>
    <row r="10" spans="1:16" ht="18" customHeight="1">
      <c r="A10" s="3"/>
      <c r="B10" s="29"/>
      <c r="C10" s="19"/>
      <c r="D10" s="23">
        <f>D6+D8</f>
        <v>961.1936</v>
      </c>
      <c r="E10" s="24">
        <f>D10/C9*100</f>
        <v>88.65338830765438</v>
      </c>
      <c r="F10" s="25">
        <f>F6+F8</f>
        <v>1005.5451</v>
      </c>
      <c r="G10" s="26">
        <f>F10/C9*100</f>
        <v>92.74404262695795</v>
      </c>
      <c r="H10" s="23">
        <f>H6+H8</f>
        <v>920.2062000000001</v>
      </c>
      <c r="I10" s="24">
        <f>H10/C9*100</f>
        <v>84.87301369017759</v>
      </c>
      <c r="J10" s="25">
        <f>J6+J8</f>
        <v>1081.7441999999999</v>
      </c>
      <c r="K10" s="26">
        <f>J10/C9*100</f>
        <v>99.77208401320289</v>
      </c>
      <c r="L10" s="20"/>
      <c r="M10" s="21"/>
      <c r="N10" s="20"/>
      <c r="O10" s="21"/>
      <c r="P10" s="21"/>
    </row>
    <row r="11" spans="1:16" ht="18" customHeight="1">
      <c r="A11" s="3" t="s">
        <v>19</v>
      </c>
      <c r="B11" s="29">
        <v>54</v>
      </c>
      <c r="C11" s="19">
        <f>1093532.2/1000</f>
        <v>1093.5321999999999</v>
      </c>
      <c r="D11" s="6"/>
      <c r="E11" s="7"/>
      <c r="F11" s="27"/>
      <c r="G11" s="28"/>
      <c r="H11" s="6"/>
      <c r="I11" s="7"/>
      <c r="J11" s="27"/>
      <c r="K11" s="28"/>
      <c r="L11" s="20">
        <v>747</v>
      </c>
      <c r="M11" s="21">
        <f>19022.8/1000</f>
        <v>19.0228</v>
      </c>
      <c r="N11" s="20">
        <v>56</v>
      </c>
      <c r="O11" s="21">
        <f>21199.6/1000</f>
        <v>21.1996</v>
      </c>
      <c r="P11" s="21">
        <f>376713.5/1000</f>
        <v>376.7135</v>
      </c>
    </row>
    <row r="12" spans="1:16" ht="18" customHeight="1">
      <c r="A12" s="3"/>
      <c r="B12" s="29"/>
      <c r="C12" s="19"/>
      <c r="D12" s="23">
        <f>748219.6/1000</f>
        <v>748.2196</v>
      </c>
      <c r="E12" s="24">
        <f>D12/C11*100</f>
        <v>68.42227416805834</v>
      </c>
      <c r="F12" s="25">
        <f>879205.3/1000</f>
        <v>879.2053000000001</v>
      </c>
      <c r="G12" s="26">
        <f>F12/C11*100</f>
        <v>80.4004948368233</v>
      </c>
      <c r="H12" s="23">
        <f>625809.1/1000</f>
        <v>625.8091</v>
      </c>
      <c r="I12" s="24">
        <f>H12/C11*100</f>
        <v>57.22822793878406</v>
      </c>
      <c r="J12" s="25">
        <f>1065698.3/1000</f>
        <v>1065.6983</v>
      </c>
      <c r="K12" s="26">
        <f>J12/C11*100</f>
        <v>97.4546794323935</v>
      </c>
      <c r="L12" s="20"/>
      <c r="M12" s="21"/>
      <c r="N12" s="20"/>
      <c r="O12" s="21"/>
      <c r="P12" s="21"/>
    </row>
    <row r="13" spans="1:16" ht="18" customHeight="1">
      <c r="A13" s="3" t="s">
        <v>20</v>
      </c>
      <c r="B13" s="29">
        <v>189</v>
      </c>
      <c r="C13" s="19">
        <f>1790806.9/1000</f>
        <v>1790.8068999999998</v>
      </c>
      <c r="D13" s="6"/>
      <c r="E13" s="7"/>
      <c r="F13" s="30"/>
      <c r="G13" s="28"/>
      <c r="H13" s="6"/>
      <c r="I13" s="7"/>
      <c r="J13" s="30"/>
      <c r="K13" s="28"/>
      <c r="L13" s="20">
        <v>1012</v>
      </c>
      <c r="M13" s="21">
        <f>16404.7/1000</f>
        <v>16.404700000000002</v>
      </c>
      <c r="N13" s="20">
        <v>22</v>
      </c>
      <c r="O13" s="21">
        <f>5049.7/1000</f>
        <v>5.0497</v>
      </c>
      <c r="P13" s="21">
        <f>292706.7/1000</f>
        <v>292.7067</v>
      </c>
    </row>
    <row r="14" spans="1:16" ht="18" customHeight="1">
      <c r="A14" s="3"/>
      <c r="B14" s="29"/>
      <c r="C14" s="19"/>
      <c r="D14" s="23">
        <f>732598.6/1000</f>
        <v>732.5986</v>
      </c>
      <c r="E14" s="24">
        <f>D14/C13*100</f>
        <v>40.908855108833905</v>
      </c>
      <c r="F14" s="25">
        <f>1074039.6/1000</f>
        <v>1074.0396</v>
      </c>
      <c r="G14" s="26">
        <f>F14/C13*100</f>
        <v>59.9751765530946</v>
      </c>
      <c r="H14" s="23">
        <f>571296.9/1000</f>
        <v>571.2969</v>
      </c>
      <c r="I14" s="24">
        <f>H14/C13*100</f>
        <v>31.90164724069357</v>
      </c>
      <c r="J14" s="25">
        <f>1655085.2/1000</f>
        <v>1655.0852</v>
      </c>
      <c r="K14" s="26">
        <f>J14/C13*100</f>
        <v>92.42119851112926</v>
      </c>
      <c r="L14" s="20"/>
      <c r="M14" s="21"/>
      <c r="N14" s="20"/>
      <c r="O14" s="21"/>
      <c r="P14" s="21"/>
    </row>
    <row r="15" spans="1:16" ht="18" customHeight="1">
      <c r="A15" s="3" t="s">
        <v>21</v>
      </c>
      <c r="B15" s="29">
        <f>SUM(B11:B14)</f>
        <v>243</v>
      </c>
      <c r="C15" s="19">
        <f>SUM(C11:C14)</f>
        <v>2884.3390999999997</v>
      </c>
      <c r="D15" s="6"/>
      <c r="E15" s="7"/>
      <c r="F15" s="27"/>
      <c r="G15" s="28"/>
      <c r="H15" s="6"/>
      <c r="I15" s="7"/>
      <c r="J15" s="27"/>
      <c r="K15" s="28"/>
      <c r="L15" s="20">
        <f>SUM(L11:L14)</f>
        <v>1759</v>
      </c>
      <c r="M15" s="21">
        <f>SUM(M11:M14)</f>
        <v>35.4275</v>
      </c>
      <c r="N15" s="20">
        <f>SUM(N11:N14)</f>
        <v>78</v>
      </c>
      <c r="O15" s="21">
        <f>SUM(O11:O14)</f>
        <v>26.249299999999998</v>
      </c>
      <c r="P15" s="21">
        <f>SUM(P11:P14)</f>
        <v>669.4202</v>
      </c>
    </row>
    <row r="16" spans="1:16" ht="18" customHeight="1">
      <c r="A16" s="3"/>
      <c r="B16" s="29"/>
      <c r="C16" s="19"/>
      <c r="D16" s="23">
        <f>D12+D14</f>
        <v>1480.8182000000002</v>
      </c>
      <c r="E16" s="24">
        <f>D16/C15*100</f>
        <v>51.33994820511917</v>
      </c>
      <c r="F16" s="25">
        <f>F12+F14</f>
        <v>1953.2449000000001</v>
      </c>
      <c r="G16" s="26">
        <f>F16/C15*100</f>
        <v>67.7189758998864</v>
      </c>
      <c r="H16" s="23">
        <f>H12+H14</f>
        <v>1197.106</v>
      </c>
      <c r="I16" s="24">
        <f>H16/C15*100</f>
        <v>41.503649830909275</v>
      </c>
      <c r="J16" s="31">
        <f>J12+J14</f>
        <v>2720.7835</v>
      </c>
      <c r="K16" s="26">
        <f>J16/C15*100</f>
        <v>94.32952942322213</v>
      </c>
      <c r="L16" s="20"/>
      <c r="M16" s="21"/>
      <c r="N16" s="20"/>
      <c r="O16" s="21"/>
      <c r="P16" s="21"/>
    </row>
    <row r="17" spans="1:16" ht="18" customHeight="1">
      <c r="A17" s="3" t="s">
        <v>22</v>
      </c>
      <c r="B17" s="32">
        <f>B9+B15</f>
        <v>261</v>
      </c>
      <c r="C17" s="19">
        <f>C9+C15</f>
        <v>3968.5544</v>
      </c>
      <c r="D17" s="6"/>
      <c r="E17" s="7"/>
      <c r="F17" s="27"/>
      <c r="G17" s="28"/>
      <c r="H17" s="6"/>
      <c r="I17" s="7"/>
      <c r="J17" s="27"/>
      <c r="K17" s="28"/>
      <c r="L17" s="20">
        <f>L9+L15</f>
        <v>2995</v>
      </c>
      <c r="M17" s="21">
        <f>M9+M15</f>
        <v>100.8357</v>
      </c>
      <c r="N17" s="20">
        <f>N9+N15</f>
        <v>215</v>
      </c>
      <c r="O17" s="21">
        <f>O9+O15</f>
        <v>101.39840000000001</v>
      </c>
      <c r="P17" s="21">
        <f>P9+P15</f>
        <v>1372.9834</v>
      </c>
    </row>
    <row r="18" spans="1:16" ht="18" customHeight="1">
      <c r="A18" s="3"/>
      <c r="B18" s="33"/>
      <c r="C18" s="19"/>
      <c r="D18" s="23">
        <f>D10+D16</f>
        <v>2442.0118</v>
      </c>
      <c r="E18" s="24">
        <f>D18/C17*100</f>
        <v>61.5340386917715</v>
      </c>
      <c r="F18" s="25">
        <f>F10+F16</f>
        <v>2958.79</v>
      </c>
      <c r="G18" s="26">
        <f>F18/C17*100</f>
        <v>74.5558634650441</v>
      </c>
      <c r="H18" s="23">
        <f>H10+H16</f>
        <v>2117.3122000000003</v>
      </c>
      <c r="I18" s="24">
        <f>H18/C17*100</f>
        <v>53.352228206825146</v>
      </c>
      <c r="J18" s="25">
        <f>J10+J16</f>
        <v>3802.5276999999996</v>
      </c>
      <c r="K18" s="26">
        <f>J18/C17*100</f>
        <v>95.81644389201266</v>
      </c>
      <c r="L18" s="20"/>
      <c r="M18" s="21"/>
      <c r="N18" s="20"/>
      <c r="O18" s="21"/>
      <c r="P18" s="21"/>
    </row>
    <row r="19" spans="1:16" ht="18" customHeight="1">
      <c r="A19" s="3" t="s">
        <v>23</v>
      </c>
      <c r="B19" s="32">
        <f>B7+B15</f>
        <v>256</v>
      </c>
      <c r="C19" s="19">
        <f>C7+C15</f>
        <v>3498.4363999999996</v>
      </c>
      <c r="D19" s="6"/>
      <c r="E19" s="7"/>
      <c r="F19" s="27"/>
      <c r="G19" s="28"/>
      <c r="H19" s="6"/>
      <c r="I19" s="7"/>
      <c r="J19" s="27"/>
      <c r="K19" s="28"/>
      <c r="L19" s="20">
        <f>L7+L15</f>
        <v>2299</v>
      </c>
      <c r="M19" s="21">
        <f>M7+M15</f>
        <v>56.115700000000004</v>
      </c>
      <c r="N19" s="20">
        <f>N7+N15</f>
        <v>164</v>
      </c>
      <c r="O19" s="21">
        <f>O7+O15</f>
        <v>75.1454</v>
      </c>
      <c r="P19" s="21">
        <f>P7+P15</f>
        <v>1028.9884</v>
      </c>
    </row>
    <row r="20" spans="1:16" ht="18" customHeight="1">
      <c r="A20" s="3"/>
      <c r="B20" s="45"/>
      <c r="C20" s="19"/>
      <c r="D20" s="23">
        <f>D8+D16</f>
        <v>1971.8938</v>
      </c>
      <c r="E20" s="24">
        <f>D20/C19*100</f>
        <v>56.36500351985819</v>
      </c>
      <c r="F20" s="25">
        <f>F8+F16</f>
        <v>2488.672</v>
      </c>
      <c r="G20" s="26">
        <f>F20/C19*100</f>
        <v>71.1366940956823</v>
      </c>
      <c r="H20" s="23">
        <f>H8+H16</f>
        <v>1647.1942</v>
      </c>
      <c r="I20" s="24">
        <f>H20/C19*100</f>
        <v>47.08372574673646</v>
      </c>
      <c r="J20" s="25">
        <f>J8+J16</f>
        <v>3332.4097</v>
      </c>
      <c r="K20" s="26">
        <f>J20/C19*100</f>
        <v>95.2542598744971</v>
      </c>
      <c r="L20" s="20"/>
      <c r="M20" s="21"/>
      <c r="N20" s="20"/>
      <c r="O20" s="21"/>
      <c r="P20" s="21"/>
    </row>
    <row r="21" spans="1:16" ht="18" customHeight="1">
      <c r="A21" s="3" t="s">
        <v>24</v>
      </c>
      <c r="B21" s="32">
        <v>1067</v>
      </c>
      <c r="C21" s="34">
        <f>1558779/1000</f>
        <v>1558.779</v>
      </c>
      <c r="D21" s="6"/>
      <c r="E21" s="7"/>
      <c r="F21" s="27"/>
      <c r="G21" s="28"/>
      <c r="H21" s="6"/>
      <c r="I21" s="7"/>
      <c r="J21" s="27"/>
      <c r="K21" s="28"/>
      <c r="L21" s="20">
        <v>1142</v>
      </c>
      <c r="M21" s="21">
        <f>19563/1000</f>
        <v>19.563</v>
      </c>
      <c r="N21" s="20">
        <v>21</v>
      </c>
      <c r="O21" s="21">
        <f>4841/1000</f>
        <v>4.841</v>
      </c>
      <c r="P21" s="21">
        <f>284671/1000</f>
        <v>284.671</v>
      </c>
    </row>
    <row r="22" spans="1:16" ht="18" customHeight="1">
      <c r="A22" s="3"/>
      <c r="B22" s="33"/>
      <c r="C22" s="35"/>
      <c r="D22" s="23">
        <f>566658/1000</f>
        <v>566.658</v>
      </c>
      <c r="E22" s="24">
        <f>D22/C21*100</f>
        <v>36.352683735154244</v>
      </c>
      <c r="F22" s="25">
        <f>1236996/1000</f>
        <v>1236.996</v>
      </c>
      <c r="G22" s="26">
        <f>F22/C21*100</f>
        <v>79.35672728462471</v>
      </c>
      <c r="H22" s="23">
        <f>303752/1000</f>
        <v>303.752</v>
      </c>
      <c r="I22" s="24">
        <f>H22/C21*100</f>
        <v>19.48653401155648</v>
      </c>
      <c r="J22" s="25">
        <f>1499831/1000</f>
        <v>1499.831</v>
      </c>
      <c r="K22" s="26">
        <f>J22/C21*100</f>
        <v>96.21832216112739</v>
      </c>
      <c r="L22" s="20"/>
      <c r="M22" s="21"/>
      <c r="N22" s="20"/>
      <c r="O22" s="21"/>
      <c r="P22" s="21"/>
    </row>
    <row r="23" spans="1:16" ht="18" customHeight="1">
      <c r="A23" s="3" t="s">
        <v>25</v>
      </c>
      <c r="B23" s="32">
        <v>1394</v>
      </c>
      <c r="C23" s="34">
        <f>1647099/1000</f>
        <v>1647.099</v>
      </c>
      <c r="D23" s="36"/>
      <c r="E23" s="37"/>
      <c r="F23" s="27"/>
      <c r="G23" s="28"/>
      <c r="H23" s="36"/>
      <c r="I23" s="37"/>
      <c r="J23" s="27"/>
      <c r="K23" s="28"/>
      <c r="L23" s="20">
        <v>1219</v>
      </c>
      <c r="M23" s="21">
        <f>12252/1000</f>
        <v>12.252</v>
      </c>
      <c r="N23" s="20">
        <v>4</v>
      </c>
      <c r="O23" s="21">
        <f>640/1000</f>
        <v>0.64</v>
      </c>
      <c r="P23" s="21">
        <f>68781/1000</f>
        <v>68.781</v>
      </c>
    </row>
    <row r="24" spans="1:16" ht="18" customHeight="1">
      <c r="A24" s="3"/>
      <c r="B24" s="33"/>
      <c r="C24" s="35"/>
      <c r="D24" s="23">
        <f>228412/1000</f>
        <v>228.412</v>
      </c>
      <c r="E24" s="24">
        <f>D24/C23*100</f>
        <v>13.867533159816139</v>
      </c>
      <c r="F24" s="25">
        <f>1052008/1000</f>
        <v>1052.008</v>
      </c>
      <c r="G24" s="26">
        <f>F24/C23*100</f>
        <v>63.87035630523727</v>
      </c>
      <c r="H24" s="23">
        <f>143951/1000</f>
        <v>143.951</v>
      </c>
      <c r="I24" s="24">
        <f>H24/C23*100</f>
        <v>8.73966895736079</v>
      </c>
      <c r="J24" s="25">
        <f>1540541/1000</f>
        <v>1540.541</v>
      </c>
      <c r="K24" s="26">
        <f>J24/C23*100</f>
        <v>93.5305649508621</v>
      </c>
      <c r="L24" s="20"/>
      <c r="M24" s="21"/>
      <c r="N24" s="20"/>
      <c r="O24" s="21"/>
      <c r="P24" s="21"/>
    </row>
    <row r="25" spans="1:16" ht="18" customHeight="1">
      <c r="A25" s="3" t="s">
        <v>26</v>
      </c>
      <c r="B25" s="32">
        <f>SUM(B21:B24)</f>
        <v>2461</v>
      </c>
      <c r="C25" s="34">
        <f>SUM(C21:C24)</f>
        <v>3205.8779999999997</v>
      </c>
      <c r="D25" s="6"/>
      <c r="E25" s="7"/>
      <c r="F25" s="27"/>
      <c r="G25" s="28"/>
      <c r="H25" s="6"/>
      <c r="I25" s="7"/>
      <c r="J25" s="27"/>
      <c r="K25" s="28"/>
      <c r="L25" s="20">
        <f>L21+L23</f>
        <v>2361</v>
      </c>
      <c r="M25" s="21">
        <f>M21+M23</f>
        <v>31.814999999999998</v>
      </c>
      <c r="N25" s="20">
        <f>SUM(N21:N24)</f>
        <v>25</v>
      </c>
      <c r="O25" s="21">
        <f>SUM(O21:O24)</f>
        <v>5.481</v>
      </c>
      <c r="P25" s="21">
        <f>SUM(P21:P24)</f>
        <v>353.452</v>
      </c>
    </row>
    <row r="26" spans="1:16" ht="18" customHeight="1">
      <c r="A26" s="3"/>
      <c r="B26" s="33"/>
      <c r="C26" s="35"/>
      <c r="D26" s="23">
        <f>D22+D24</f>
        <v>795.07</v>
      </c>
      <c r="E26" s="24">
        <f>D26/C25*100</f>
        <v>24.80038229776679</v>
      </c>
      <c r="F26" s="25">
        <f>F22+F24</f>
        <v>2289.004</v>
      </c>
      <c r="G26" s="26">
        <f>F26/C25*100</f>
        <v>71.40022171773225</v>
      </c>
      <c r="H26" s="23">
        <f>H22+H24</f>
        <v>447.703</v>
      </c>
      <c r="I26" s="24">
        <f>H26/C25*100</f>
        <v>13.965066668163917</v>
      </c>
      <c r="J26" s="25">
        <f>J22+J24</f>
        <v>3040.372</v>
      </c>
      <c r="K26" s="26">
        <f>J26/C25*100</f>
        <v>94.83742051319483</v>
      </c>
      <c r="L26" s="20"/>
      <c r="M26" s="21"/>
      <c r="N26" s="20"/>
      <c r="O26" s="21"/>
      <c r="P26" s="21"/>
    </row>
    <row r="27" spans="1:16" ht="18" customHeight="1">
      <c r="A27" s="3" t="s">
        <v>32</v>
      </c>
      <c r="B27" s="29">
        <v>26325</v>
      </c>
      <c r="C27" s="34">
        <f>10880850/1000</f>
        <v>10880.85</v>
      </c>
      <c r="D27" s="6"/>
      <c r="E27" s="7"/>
      <c r="F27" s="27"/>
      <c r="G27" s="28"/>
      <c r="H27" s="6"/>
      <c r="I27" s="7"/>
      <c r="J27" s="27"/>
      <c r="K27" s="28"/>
      <c r="L27" s="20">
        <v>6787</v>
      </c>
      <c r="M27" s="21">
        <f>60139/1000</f>
        <v>60.139</v>
      </c>
      <c r="N27" s="20">
        <v>34</v>
      </c>
      <c r="O27" s="21">
        <f>6436/1000</f>
        <v>6.436</v>
      </c>
      <c r="P27" s="21">
        <f>194250/1000</f>
        <v>194.25</v>
      </c>
    </row>
    <row r="28" spans="1:16" ht="18" customHeight="1">
      <c r="A28" s="3"/>
      <c r="B28" s="29"/>
      <c r="C28" s="35"/>
      <c r="D28" s="23">
        <f>735009/1000</f>
        <v>735.009</v>
      </c>
      <c r="E28" s="24">
        <f>D28/C27*100</f>
        <v>6.755069686651319</v>
      </c>
      <c r="F28" s="25">
        <f>4755182/1000</f>
        <v>4755.182</v>
      </c>
      <c r="G28" s="26">
        <f>F28/C27*100</f>
        <v>43.702302669368656</v>
      </c>
      <c r="H28" s="23">
        <f>1355213/1000</f>
        <v>1355.213</v>
      </c>
      <c r="I28" s="24">
        <f>H28/C27*100</f>
        <v>12.455028789111145</v>
      </c>
      <c r="J28" s="25">
        <f>8883488/1000</f>
        <v>8883.488</v>
      </c>
      <c r="K28" s="26">
        <f>J28/C27*100</f>
        <v>81.6433274973922</v>
      </c>
      <c r="L28" s="20"/>
      <c r="M28" s="21"/>
      <c r="N28" s="20"/>
      <c r="O28" s="21"/>
      <c r="P28" s="21"/>
    </row>
    <row r="29" spans="1:16" ht="18" customHeight="1">
      <c r="A29" s="3" t="s">
        <v>27</v>
      </c>
      <c r="B29" s="29">
        <f>SUM(B25:B28)</f>
        <v>28786</v>
      </c>
      <c r="C29" s="34">
        <f>SUM(C25:C28)</f>
        <v>14086.728</v>
      </c>
      <c r="D29" s="6"/>
      <c r="E29" s="7"/>
      <c r="F29" s="30"/>
      <c r="G29" s="28"/>
      <c r="H29" s="6"/>
      <c r="I29" s="7"/>
      <c r="J29" s="30"/>
      <c r="K29" s="28"/>
      <c r="L29" s="20">
        <f>SUM(L25:L28)</f>
        <v>9148</v>
      </c>
      <c r="M29" s="21">
        <f>SUM(M25:M28)</f>
        <v>91.95400000000001</v>
      </c>
      <c r="N29" s="20">
        <f>SUM(N25:N28)</f>
        <v>59</v>
      </c>
      <c r="O29" s="21">
        <f>SUM(O25:O28)</f>
        <v>11.917</v>
      </c>
      <c r="P29" s="21">
        <f>SUM(P25:P28)</f>
        <v>547.702</v>
      </c>
    </row>
    <row r="30" spans="1:16" ht="18" customHeight="1">
      <c r="A30" s="3"/>
      <c r="B30" s="29"/>
      <c r="C30" s="35"/>
      <c r="D30" s="23">
        <f>D26+D28</f>
        <v>1530.0790000000002</v>
      </c>
      <c r="E30" s="24">
        <f>D30/C29*100</f>
        <v>10.861848116894144</v>
      </c>
      <c r="F30" s="31">
        <f>F26+F28</f>
        <v>7044.186</v>
      </c>
      <c r="G30" s="26">
        <f>F30/C29*100</f>
        <v>50.00583527984639</v>
      </c>
      <c r="H30" s="23">
        <f>H26+H28</f>
        <v>1802.916</v>
      </c>
      <c r="I30" s="24">
        <f>H30/C29*100</f>
        <v>12.798685400896503</v>
      </c>
      <c r="J30" s="25">
        <f>J26+J28</f>
        <v>11923.859999999999</v>
      </c>
      <c r="K30" s="26">
        <f>J30/C29*100</f>
        <v>84.64605833235368</v>
      </c>
      <c r="L30" s="20"/>
      <c r="M30" s="21"/>
      <c r="N30" s="20"/>
      <c r="O30" s="21"/>
      <c r="P30" s="21"/>
    </row>
    <row r="31" spans="1:16" ht="18" customHeight="1">
      <c r="A31" s="3" t="s">
        <v>28</v>
      </c>
      <c r="B31" s="29">
        <f>SUM(B17,B29)</f>
        <v>29047</v>
      </c>
      <c r="C31" s="19">
        <f>C5+C7+C11+C13+C21+C23+C27</f>
        <v>18055.2824</v>
      </c>
      <c r="D31" s="6"/>
      <c r="E31" s="7"/>
      <c r="F31" s="30"/>
      <c r="G31" s="28"/>
      <c r="H31" s="6"/>
      <c r="I31" s="7"/>
      <c r="J31" s="30"/>
      <c r="K31" s="28"/>
      <c r="L31" s="20">
        <f>SUM(L29,L17)</f>
        <v>12143</v>
      </c>
      <c r="M31" s="21">
        <f>M17+M29</f>
        <v>192.7897</v>
      </c>
      <c r="N31" s="20">
        <f>SUM(N29,N17)</f>
        <v>274</v>
      </c>
      <c r="O31" s="21">
        <f>O17+O29</f>
        <v>113.31540000000001</v>
      </c>
      <c r="P31" s="21">
        <f>P17+P29</f>
        <v>1920.6854</v>
      </c>
    </row>
    <row r="32" spans="1:16" ht="18" customHeight="1">
      <c r="A32" s="3"/>
      <c r="B32" s="29"/>
      <c r="C32" s="19"/>
      <c r="D32" s="23">
        <f>D6+D8+D12+D14+D22+D24+D28</f>
        <v>3972.0908</v>
      </c>
      <c r="E32" s="24">
        <f>D32/C31*100</f>
        <v>21.999604946638772</v>
      </c>
      <c r="F32" s="31">
        <f>F6+F8+F12+F14+F22+F24+F28</f>
        <v>10002.975999999999</v>
      </c>
      <c r="G32" s="26">
        <f>F32/C31*100</f>
        <v>55.401936000735155</v>
      </c>
      <c r="H32" s="23">
        <f>H6+H8+H12+H14+H22+H24+H28</f>
        <v>3920.2282000000005</v>
      </c>
      <c r="I32" s="24">
        <f>H32/C31*100</f>
        <v>21.71236158565983</v>
      </c>
      <c r="J32" s="31">
        <f>J6+J8+J12+J14+J22+J24+J28</f>
        <v>15726.3877</v>
      </c>
      <c r="K32" s="26">
        <f>J32/C31*100</f>
        <v>87.10131113762031</v>
      </c>
      <c r="L32" s="20"/>
      <c r="M32" s="21"/>
      <c r="N32" s="20"/>
      <c r="O32" s="21"/>
      <c r="P32" s="21"/>
    </row>
    <row r="33" spans="1:16" ht="14.25" customHeight="1">
      <c r="A33" s="38" t="s">
        <v>29</v>
      </c>
      <c r="B33" s="39"/>
      <c r="C33" s="40"/>
      <c r="D33" s="41"/>
      <c r="E33" s="42"/>
      <c r="F33" s="41"/>
      <c r="G33" s="42"/>
      <c r="H33" s="41"/>
      <c r="I33" s="42"/>
      <c r="J33" s="41"/>
      <c r="K33" s="42"/>
      <c r="L33" s="43"/>
      <c r="M33" s="44"/>
      <c r="N33" s="43"/>
      <c r="O33" s="44"/>
      <c r="P33" s="44"/>
    </row>
    <row r="34" ht="13.5">
      <c r="A34" s="38" t="s">
        <v>30</v>
      </c>
    </row>
    <row r="35" ht="13.5">
      <c r="A35" s="38" t="s">
        <v>31</v>
      </c>
    </row>
    <row r="36" ht="13.5">
      <c r="A36" s="38" t="s">
        <v>33</v>
      </c>
    </row>
    <row r="37" ht="13.5">
      <c r="A37" s="38" t="s">
        <v>34</v>
      </c>
    </row>
    <row r="38" ht="13.5">
      <c r="A38" s="38" t="s">
        <v>35</v>
      </c>
    </row>
  </sheetData>
  <sheetProtection/>
  <mergeCells count="158">
    <mergeCell ref="M31:M32"/>
    <mergeCell ref="N31:N32"/>
    <mergeCell ref="O31:O32"/>
    <mergeCell ref="P31:P32"/>
    <mergeCell ref="L29:L30"/>
    <mergeCell ref="M29:M30"/>
    <mergeCell ref="N29:N30"/>
    <mergeCell ref="O29:O30"/>
    <mergeCell ref="P29:P30"/>
    <mergeCell ref="A31:A32"/>
    <mergeCell ref="B31:B32"/>
    <mergeCell ref="C31:C32"/>
    <mergeCell ref="D31:E31"/>
    <mergeCell ref="H31:I31"/>
    <mergeCell ref="L27:L28"/>
    <mergeCell ref="L31:L32"/>
    <mergeCell ref="N27:N28"/>
    <mergeCell ref="O27:O28"/>
    <mergeCell ref="P27:P28"/>
    <mergeCell ref="A29:A30"/>
    <mergeCell ref="B29:B30"/>
    <mergeCell ref="C29:C30"/>
    <mergeCell ref="D29:E29"/>
    <mergeCell ref="H29:I29"/>
    <mergeCell ref="M25:M26"/>
    <mergeCell ref="N25:N26"/>
    <mergeCell ref="O25:O26"/>
    <mergeCell ref="P25:P26"/>
    <mergeCell ref="A27:A28"/>
    <mergeCell ref="B27:B28"/>
    <mergeCell ref="C27:C28"/>
    <mergeCell ref="D27:E27"/>
    <mergeCell ref="H27:I27"/>
    <mergeCell ref="M27:M28"/>
    <mergeCell ref="M23:M24"/>
    <mergeCell ref="N23:N24"/>
    <mergeCell ref="O23:O24"/>
    <mergeCell ref="P23:P24"/>
    <mergeCell ref="A25:A26"/>
    <mergeCell ref="B25:B26"/>
    <mergeCell ref="C25:C26"/>
    <mergeCell ref="D25:E25"/>
    <mergeCell ref="H25:I25"/>
    <mergeCell ref="L25:L26"/>
    <mergeCell ref="M21:M22"/>
    <mergeCell ref="N21:N22"/>
    <mergeCell ref="O21:O22"/>
    <mergeCell ref="P21:P22"/>
    <mergeCell ref="A23:A24"/>
    <mergeCell ref="B23:B24"/>
    <mergeCell ref="C23:C24"/>
    <mergeCell ref="D23:E23"/>
    <mergeCell ref="H23:I23"/>
    <mergeCell ref="L23:L24"/>
    <mergeCell ref="M19:M20"/>
    <mergeCell ref="N19:N20"/>
    <mergeCell ref="O19:O20"/>
    <mergeCell ref="P19:P20"/>
    <mergeCell ref="A21:A22"/>
    <mergeCell ref="B21:B22"/>
    <mergeCell ref="C21:C22"/>
    <mergeCell ref="D21:E21"/>
    <mergeCell ref="H21:I21"/>
    <mergeCell ref="L21:L22"/>
    <mergeCell ref="M17:M18"/>
    <mergeCell ref="N17:N18"/>
    <mergeCell ref="O17:O18"/>
    <mergeCell ref="P17:P18"/>
    <mergeCell ref="A19:A20"/>
    <mergeCell ref="B19:B20"/>
    <mergeCell ref="C19:C20"/>
    <mergeCell ref="D19:E19"/>
    <mergeCell ref="H19:I19"/>
    <mergeCell ref="L19:L20"/>
    <mergeCell ref="M15:M16"/>
    <mergeCell ref="N15:N16"/>
    <mergeCell ref="O15:O16"/>
    <mergeCell ref="P15:P16"/>
    <mergeCell ref="A17:A18"/>
    <mergeCell ref="B17:B18"/>
    <mergeCell ref="C17:C18"/>
    <mergeCell ref="D17:E17"/>
    <mergeCell ref="H17:I17"/>
    <mergeCell ref="L17:L18"/>
    <mergeCell ref="M13:M14"/>
    <mergeCell ref="N13:N14"/>
    <mergeCell ref="O13:O14"/>
    <mergeCell ref="P13:P14"/>
    <mergeCell ref="A15:A16"/>
    <mergeCell ref="B15:B16"/>
    <mergeCell ref="C15:C16"/>
    <mergeCell ref="D15:E15"/>
    <mergeCell ref="H15:I15"/>
    <mergeCell ref="L15:L16"/>
    <mergeCell ref="M11:M12"/>
    <mergeCell ref="N11:N12"/>
    <mergeCell ref="O11:O12"/>
    <mergeCell ref="P11:P12"/>
    <mergeCell ref="A13:A14"/>
    <mergeCell ref="B13:B14"/>
    <mergeCell ref="C13:C14"/>
    <mergeCell ref="D13:E13"/>
    <mergeCell ref="H13:I13"/>
    <mergeCell ref="L13:L14"/>
    <mergeCell ref="M9:M10"/>
    <mergeCell ref="N9:N10"/>
    <mergeCell ref="O9:O10"/>
    <mergeCell ref="P9:P10"/>
    <mergeCell ref="A11:A12"/>
    <mergeCell ref="B11:B12"/>
    <mergeCell ref="C11:C12"/>
    <mergeCell ref="D11:E11"/>
    <mergeCell ref="H11:I11"/>
    <mergeCell ref="L11:L12"/>
    <mergeCell ref="M7:M8"/>
    <mergeCell ref="N7:N8"/>
    <mergeCell ref="O7:O8"/>
    <mergeCell ref="P7:P8"/>
    <mergeCell ref="A9:A10"/>
    <mergeCell ref="B9:B10"/>
    <mergeCell ref="C9:C10"/>
    <mergeCell ref="D9:E9"/>
    <mergeCell ref="H9:I9"/>
    <mergeCell ref="L9:L10"/>
    <mergeCell ref="M5:M6"/>
    <mergeCell ref="N5:N6"/>
    <mergeCell ref="O5:O6"/>
    <mergeCell ref="P5:P6"/>
    <mergeCell ref="A7:A8"/>
    <mergeCell ref="B7:B8"/>
    <mergeCell ref="C7:C8"/>
    <mergeCell ref="D7:E7"/>
    <mergeCell ref="H7:I7"/>
    <mergeCell ref="L7:L8"/>
    <mergeCell ref="A5:A6"/>
    <mergeCell ref="B5:B6"/>
    <mergeCell ref="C5:C6"/>
    <mergeCell ref="D5:G5"/>
    <mergeCell ref="H5:K5"/>
    <mergeCell ref="L5:L6"/>
    <mergeCell ref="N3:N4"/>
    <mergeCell ref="O3:O4"/>
    <mergeCell ref="D4:E4"/>
    <mergeCell ref="H4:I4"/>
    <mergeCell ref="H3:I3"/>
    <mergeCell ref="J3:K4"/>
    <mergeCell ref="L3:L4"/>
    <mergeCell ref="M3:M4"/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ignoredErrors>
    <ignoredError sqref="O27:P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2014-06-26T11:07:23Z</cp:lastPrinted>
  <dcterms:created xsi:type="dcterms:W3CDTF">2010-03-02T05:16:00Z</dcterms:created>
  <dcterms:modified xsi:type="dcterms:W3CDTF">2014-06-26T11:07:28Z</dcterms:modified>
  <cp:category/>
  <cp:version/>
  <cp:contentType/>
  <cp:contentStatus/>
</cp:coreProperties>
</file>